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38" i="1" l="1"/>
  <c r="H38" i="1" s="1"/>
  <c r="F7" i="1" l="1"/>
  <c r="G7" i="1" s="1"/>
  <c r="H7" i="1" s="1"/>
  <c r="F8" i="1" l="1"/>
  <c r="B11" i="1"/>
  <c r="B9" i="1"/>
  <c r="B10" i="1" s="1"/>
  <c r="B12" i="1" s="1"/>
  <c r="B4" i="1"/>
  <c r="B20" i="1" l="1"/>
  <c r="B13" i="1"/>
  <c r="F9" i="1"/>
  <c r="G8" i="1"/>
  <c r="H8" i="1" s="1"/>
  <c r="B19" i="1"/>
  <c r="B16" i="1"/>
  <c r="B17" i="1" s="1"/>
  <c r="B14" i="1"/>
  <c r="B18" i="1" s="1"/>
  <c r="I38" i="1" s="1"/>
  <c r="J38" i="1" s="1"/>
  <c r="F10" i="1" l="1"/>
  <c r="G9" i="1"/>
  <c r="H9" i="1" s="1"/>
  <c r="K38" i="1"/>
  <c r="I9" i="1"/>
  <c r="J9" i="1" s="1"/>
  <c r="K7" i="1"/>
  <c r="K8" i="1"/>
  <c r="I7" i="1"/>
  <c r="J7" i="1" s="1"/>
  <c r="K9" i="1"/>
  <c r="I8" i="1"/>
  <c r="J8" i="1" s="1"/>
  <c r="F11" i="1" l="1"/>
  <c r="G10" i="1"/>
  <c r="H10" i="1" s="1"/>
  <c r="F12" i="1" l="1"/>
  <c r="G11" i="1"/>
  <c r="H11" i="1" s="1"/>
  <c r="K10" i="1"/>
  <c r="I10" i="1"/>
  <c r="J10" i="1" s="1"/>
  <c r="K11" i="1" l="1"/>
  <c r="I11" i="1"/>
  <c r="J11" i="1" s="1"/>
  <c r="F13" i="1"/>
  <c r="G12" i="1"/>
  <c r="H12" i="1" s="1"/>
  <c r="F14" i="1" l="1"/>
  <c r="G13" i="1"/>
  <c r="H13" i="1" s="1"/>
  <c r="I12" i="1"/>
  <c r="J12" i="1" s="1"/>
  <c r="K12" i="1"/>
  <c r="I13" i="1" l="1"/>
  <c r="J13" i="1" s="1"/>
  <c r="K13" i="1"/>
  <c r="G14" i="1"/>
  <c r="H14" i="1" s="1"/>
  <c r="F15" i="1"/>
  <c r="F16" i="1" l="1"/>
  <c r="G15" i="1"/>
  <c r="H15" i="1" s="1"/>
  <c r="K14" i="1"/>
  <c r="I14" i="1"/>
  <c r="J14" i="1" s="1"/>
  <c r="K15" i="1" l="1"/>
  <c r="I15" i="1"/>
  <c r="J15" i="1" s="1"/>
  <c r="F17" i="1"/>
  <c r="G16" i="1"/>
  <c r="H16" i="1" s="1"/>
  <c r="F18" i="1" l="1"/>
  <c r="G17" i="1"/>
  <c r="H17" i="1" s="1"/>
  <c r="K16" i="1"/>
  <c r="I16" i="1"/>
  <c r="J16" i="1" s="1"/>
  <c r="I17" i="1" l="1"/>
  <c r="J17" i="1" s="1"/>
  <c r="K17" i="1"/>
  <c r="F19" i="1"/>
  <c r="G18" i="1"/>
  <c r="H18" i="1" s="1"/>
  <c r="F20" i="1" l="1"/>
  <c r="G19" i="1"/>
  <c r="H19" i="1" s="1"/>
  <c r="I18" i="1"/>
  <c r="J18" i="1" s="1"/>
  <c r="K18" i="1"/>
  <c r="K19" i="1" l="1"/>
  <c r="I19" i="1"/>
  <c r="J19" i="1" s="1"/>
  <c r="F21" i="1"/>
  <c r="G20" i="1"/>
  <c r="H20" i="1" s="1"/>
  <c r="F22" i="1" l="1"/>
  <c r="G21" i="1"/>
  <c r="H21" i="1" s="1"/>
  <c r="I20" i="1"/>
  <c r="J20" i="1" s="1"/>
  <c r="K20" i="1"/>
  <c r="I21" i="1" l="1"/>
  <c r="J21" i="1" s="1"/>
  <c r="K21" i="1"/>
  <c r="F23" i="1"/>
  <c r="G22" i="1"/>
  <c r="H22" i="1" s="1"/>
  <c r="I22" i="1" l="1"/>
  <c r="J22" i="1" s="1"/>
  <c r="K22" i="1"/>
  <c r="F24" i="1"/>
  <c r="G23" i="1"/>
  <c r="H23" i="1" s="1"/>
  <c r="K23" i="1" l="1"/>
  <c r="I23" i="1"/>
  <c r="J23" i="1" s="1"/>
  <c r="F25" i="1"/>
  <c r="G24" i="1"/>
  <c r="H24" i="1" s="1"/>
  <c r="F26" i="1" l="1"/>
  <c r="G25" i="1"/>
  <c r="H25" i="1" s="1"/>
  <c r="I24" i="1"/>
  <c r="J24" i="1" s="1"/>
  <c r="K24" i="1"/>
  <c r="K25" i="1" l="1"/>
  <c r="I25" i="1"/>
  <c r="J25" i="1" s="1"/>
  <c r="F27" i="1"/>
  <c r="G26" i="1"/>
  <c r="H26" i="1" s="1"/>
  <c r="F28" i="1" l="1"/>
  <c r="G27" i="1"/>
  <c r="H27" i="1" s="1"/>
  <c r="I26" i="1"/>
  <c r="J26" i="1" s="1"/>
  <c r="K26" i="1"/>
  <c r="I27" i="1" l="1"/>
  <c r="J27" i="1" s="1"/>
  <c r="K27" i="1"/>
  <c r="F29" i="1"/>
  <c r="G28" i="1"/>
  <c r="H28" i="1" s="1"/>
  <c r="I28" i="1" l="1"/>
  <c r="J28" i="1" s="1"/>
  <c r="K28" i="1"/>
  <c r="F30" i="1"/>
  <c r="G29" i="1"/>
  <c r="H29" i="1" s="1"/>
  <c r="F31" i="1" l="1"/>
  <c r="G30" i="1"/>
  <c r="H30" i="1" s="1"/>
  <c r="K29" i="1"/>
  <c r="I29" i="1"/>
  <c r="J29" i="1" s="1"/>
  <c r="K30" i="1" l="1"/>
  <c r="I30" i="1"/>
  <c r="J30" i="1" s="1"/>
  <c r="F32" i="1"/>
  <c r="G31" i="1"/>
  <c r="H31" i="1" s="1"/>
  <c r="F33" i="1" l="1"/>
  <c r="G32" i="1"/>
  <c r="H32" i="1" s="1"/>
  <c r="K31" i="1"/>
  <c r="I31" i="1"/>
  <c r="J31" i="1" s="1"/>
  <c r="K32" i="1" l="1"/>
  <c r="I32" i="1"/>
  <c r="J32" i="1" s="1"/>
  <c r="F34" i="1"/>
  <c r="G33" i="1"/>
  <c r="H33" i="1" s="1"/>
  <c r="F35" i="1" l="1"/>
  <c r="G34" i="1"/>
  <c r="H34" i="1" s="1"/>
  <c r="I33" i="1"/>
  <c r="J33" i="1" s="1"/>
  <c r="K33" i="1"/>
  <c r="I34" i="1" l="1"/>
  <c r="J34" i="1" s="1"/>
  <c r="K34" i="1"/>
  <c r="F36" i="1"/>
  <c r="G35" i="1"/>
  <c r="H35" i="1" s="1"/>
  <c r="F37" i="1" l="1"/>
  <c r="G37" i="1" s="1"/>
  <c r="H37" i="1" s="1"/>
  <c r="G36" i="1"/>
  <c r="H36" i="1" s="1"/>
  <c r="K35" i="1"/>
  <c r="I35" i="1"/>
  <c r="J35" i="1" s="1"/>
  <c r="I36" i="1" l="1"/>
  <c r="J36" i="1" s="1"/>
  <c r="K36" i="1"/>
  <c r="I37" i="1"/>
  <c r="J37" i="1" s="1"/>
  <c r="K37" i="1"/>
</calcChain>
</file>

<file path=xl/sharedStrings.xml><?xml version="1.0" encoding="utf-8"?>
<sst xmlns="http://schemas.openxmlformats.org/spreadsheetml/2006/main" count="47" uniqueCount="39">
  <si>
    <t>Helicopter Feathering to Flapping</t>
  </si>
  <si>
    <t>Bold Font is an input.</t>
  </si>
  <si>
    <t>Plain Font is Computed.</t>
  </si>
  <si>
    <t>RPM =</t>
  </si>
  <si>
    <t>Revs/Minute</t>
  </si>
  <si>
    <t>Omega =</t>
  </si>
  <si>
    <t>rps</t>
  </si>
  <si>
    <t>R =</t>
  </si>
  <si>
    <t>ft</t>
  </si>
  <si>
    <t>rho =</t>
  </si>
  <si>
    <t>(lb-sec^2)/(ft^4)</t>
  </si>
  <si>
    <t>m =</t>
  </si>
  <si>
    <t>lb</t>
  </si>
  <si>
    <t>(lb-sec^2)/ft</t>
  </si>
  <si>
    <t>I =</t>
  </si>
  <si>
    <t>ft-lb-sec^2</t>
  </si>
  <si>
    <t>Cl =</t>
  </si>
  <si>
    <t>No-Dim</t>
  </si>
  <si>
    <t>Num0 =</t>
  </si>
  <si>
    <t>C =</t>
  </si>
  <si>
    <t>Den0 =</t>
  </si>
  <si>
    <t>Den1 =</t>
  </si>
  <si>
    <t>rpss</t>
  </si>
  <si>
    <t>Den2 =</t>
  </si>
  <si>
    <t>rad</t>
  </si>
  <si>
    <t>Steady-State =</t>
  </si>
  <si>
    <t>rad/rad</t>
  </si>
  <si>
    <t>db</t>
  </si>
  <si>
    <t>zeta =</t>
  </si>
  <si>
    <t>zeta  check=</t>
  </si>
  <si>
    <t>Log(Freq(Hz))</t>
  </si>
  <si>
    <t>Freq (Hz)</t>
  </si>
  <si>
    <t>Freq (rps)</t>
  </si>
  <si>
    <t xml:space="preserve">Gain </t>
  </si>
  <si>
    <t>Gain (db)</t>
  </si>
  <si>
    <t>Phase (deg)</t>
  </si>
  <si>
    <t>Freq Start (Hz)</t>
  </si>
  <si>
    <t>Log Freq Increment</t>
  </si>
  <si>
    <t>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</si>
</sst>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0000"/>
    <numFmt numFmtId="166" formatCode="0.000"/>
    <numFmt numFmtId="167" formatCode="0.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Geneva"/>
    </font>
    <font>
      <i/>
      <sz val="10"/>
      <name val="Geneva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top"/>
    </xf>
    <xf numFmtId="2" fontId="0" fillId="0" borderId="0" xfId="0" applyNumberFormat="1" applyAlignment="1">
      <alignment horizontal="center" vertical="top"/>
    </xf>
    <xf numFmtId="2" fontId="0" fillId="0" borderId="0" xfId="0" applyNumberFormat="1" applyAlignment="1">
      <alignment vertical="top"/>
    </xf>
    <xf numFmtId="0" fontId="1" fillId="0" borderId="0" xfId="0" applyFont="1" applyAlignment="1">
      <alignment horizontal="left" vertical="top"/>
    </xf>
    <xf numFmtId="166" fontId="2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 vertical="top"/>
    </xf>
    <xf numFmtId="166" fontId="0" fillId="0" borderId="0" xfId="0" applyNumberFormat="1" applyAlignment="1">
      <alignment horizontal="center" vertical="top"/>
    </xf>
    <xf numFmtId="166" fontId="0" fillId="0" borderId="0" xfId="0" applyNumberFormat="1"/>
    <xf numFmtId="2" fontId="4" fillId="2" borderId="1" xfId="1" applyNumberFormat="1" applyBorder="1" applyAlignment="1">
      <alignment horizontal="center" vertical="top"/>
    </xf>
    <xf numFmtId="164" fontId="4" fillId="2" borderId="1" xfId="1" applyNumberFormat="1" applyBorder="1" applyAlignment="1">
      <alignment horizontal="center" vertical="top"/>
    </xf>
    <xf numFmtId="1" fontId="1" fillId="2" borderId="1" xfId="1" applyNumberFormat="1" applyFont="1" applyBorder="1" applyAlignment="1">
      <alignment horizontal="center" vertical="top"/>
    </xf>
    <xf numFmtId="165" fontId="1" fillId="2" borderId="1" xfId="1" applyNumberFormat="1" applyFont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166" fontId="4" fillId="3" borderId="1" xfId="2" applyNumberFormat="1" applyBorder="1" applyAlignment="1">
      <alignment horizontal="center" vertical="top"/>
    </xf>
    <xf numFmtId="0" fontId="1" fillId="2" borderId="2" xfId="1" applyFont="1" applyBorder="1" applyAlignment="1">
      <alignment horizontal="center" vertical="top"/>
    </xf>
    <xf numFmtId="1" fontId="1" fillId="2" borderId="3" xfId="1" applyNumberFormat="1" applyFont="1" applyBorder="1" applyAlignment="1">
      <alignment horizontal="center" vertical="top"/>
    </xf>
    <xf numFmtId="0" fontId="1" fillId="2" borderId="4" xfId="1" applyFont="1" applyBorder="1" applyAlignment="1">
      <alignment horizontal="center" vertical="top"/>
    </xf>
    <xf numFmtId="0" fontId="4" fillId="2" borderId="5" xfId="1" applyBorder="1" applyAlignment="1">
      <alignment horizontal="center" vertical="top"/>
    </xf>
    <xf numFmtId="0" fontId="4" fillId="2" borderId="6" xfId="1" applyBorder="1" applyAlignment="1">
      <alignment horizontal="center" vertical="top"/>
    </xf>
    <xf numFmtId="0" fontId="1" fillId="2" borderId="5" xfId="1" applyFont="1" applyBorder="1" applyAlignment="1">
      <alignment horizontal="center" vertical="top"/>
    </xf>
    <xf numFmtId="0" fontId="1" fillId="2" borderId="6" xfId="1" applyFont="1" applyBorder="1" applyAlignment="1">
      <alignment horizontal="center" vertical="top"/>
    </xf>
    <xf numFmtId="0" fontId="4" fillId="2" borderId="7" xfId="1" applyBorder="1" applyAlignment="1">
      <alignment horizontal="center" vertical="top"/>
    </xf>
    <xf numFmtId="2" fontId="4" fillId="2" borderId="8" xfId="1" applyNumberFormat="1" applyBorder="1" applyAlignment="1">
      <alignment horizontal="center" vertical="top"/>
    </xf>
    <xf numFmtId="0" fontId="4" fillId="2" borderId="9" xfId="1" applyBorder="1" applyAlignment="1">
      <alignment horizontal="center" vertical="top"/>
    </xf>
    <xf numFmtId="166" fontId="1" fillId="3" borderId="2" xfId="2" applyNumberFormat="1" applyFont="1" applyBorder="1" applyAlignment="1">
      <alignment horizontal="center" vertical="top"/>
    </xf>
    <xf numFmtId="166" fontId="1" fillId="3" borderId="3" xfId="2" applyNumberFormat="1" applyFont="1" applyBorder="1" applyAlignment="1">
      <alignment horizontal="center"/>
    </xf>
    <xf numFmtId="166" fontId="1" fillId="3" borderId="3" xfId="2" applyNumberFormat="1" applyFont="1" applyBorder="1" applyAlignment="1">
      <alignment horizontal="center" vertical="top"/>
    </xf>
    <xf numFmtId="166" fontId="1" fillId="3" borderId="4" xfId="2" applyNumberFormat="1" applyFont="1" applyBorder="1" applyAlignment="1">
      <alignment horizontal="center"/>
    </xf>
    <xf numFmtId="166" fontId="4" fillId="3" borderId="5" xfId="2" applyNumberFormat="1" applyBorder="1" applyAlignment="1">
      <alignment horizontal="center" vertical="top"/>
    </xf>
    <xf numFmtId="166" fontId="4" fillId="3" borderId="6" xfId="2" applyNumberFormat="1" applyBorder="1" applyAlignment="1">
      <alignment horizontal="center" vertical="top"/>
    </xf>
    <xf numFmtId="167" fontId="4" fillId="4" borderId="10" xfId="3" applyNumberFormat="1" applyBorder="1" applyAlignment="1">
      <alignment horizontal="center" vertical="top"/>
    </xf>
    <xf numFmtId="166" fontId="4" fillId="4" borderId="11" xfId="3" applyNumberFormat="1" applyBorder="1" applyAlignment="1">
      <alignment horizontal="center" vertical="top"/>
    </xf>
    <xf numFmtId="166" fontId="5" fillId="4" borderId="11" xfId="3" applyNumberFormat="1" applyFont="1" applyBorder="1" applyAlignment="1">
      <alignment horizontal="center" vertical="top"/>
    </xf>
    <xf numFmtId="166" fontId="5" fillId="4" borderId="12" xfId="3" applyNumberFormat="1" applyFont="1" applyBorder="1" applyAlignment="1">
      <alignment horizontal="center" vertical="top"/>
    </xf>
    <xf numFmtId="166" fontId="4" fillId="3" borderId="7" xfId="2" applyNumberFormat="1" applyBorder="1" applyAlignment="1">
      <alignment horizontal="center" vertical="top"/>
    </xf>
    <xf numFmtId="166" fontId="4" fillId="3" borderId="8" xfId="2" applyNumberFormat="1" applyBorder="1" applyAlignment="1">
      <alignment horizontal="center" vertical="top"/>
    </xf>
    <xf numFmtId="166" fontId="4" fillId="3" borderId="9" xfId="2" applyNumberFormat="1" applyBorder="1" applyAlignment="1">
      <alignment horizontal="center" vertical="top"/>
    </xf>
  </cellXfs>
  <cellStyles count="4">
    <cellStyle name="20% - Accent2" xfId="1" builtinId="34"/>
    <cellStyle name="20% - Accent4" xfId="2" builtinId="42"/>
    <cellStyle name="20% - Accent6" xfId="3" builtinId="50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Sheet1!$J$6</c:f>
              <c:strCache>
                <c:ptCount val="1"/>
                <c:pt idx="0">
                  <c:v>Gain (db)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Sheet1!$G$7:$G$37</c:f>
              <c:numCache>
                <c:formatCode>0.000</c:formatCode>
                <c:ptCount val="31"/>
                <c:pt idx="0">
                  <c:v>0.1</c:v>
                </c:pt>
                <c:pt idx="1">
                  <c:v>0.12589254117941667</c:v>
                </c:pt>
                <c:pt idx="2">
                  <c:v>0.15848931924611132</c:v>
                </c:pt>
                <c:pt idx="3">
                  <c:v>0.19952623149688792</c:v>
                </c:pt>
                <c:pt idx="4">
                  <c:v>0.25118864315095796</c:v>
                </c:pt>
                <c:pt idx="5">
                  <c:v>0.31622776601683783</c:v>
                </c:pt>
                <c:pt idx="6">
                  <c:v>0.39810717055349709</c:v>
                </c:pt>
                <c:pt idx="7">
                  <c:v>0.50118723362727202</c:v>
                </c:pt>
                <c:pt idx="8">
                  <c:v>0.63095734448019303</c:v>
                </c:pt>
                <c:pt idx="9">
                  <c:v>0.79432823472428116</c:v>
                </c:pt>
                <c:pt idx="10">
                  <c:v>0.99999999999999978</c:v>
                </c:pt>
                <c:pt idx="11">
                  <c:v>1.2589254117941668</c:v>
                </c:pt>
                <c:pt idx="12">
                  <c:v>1.5848931924611132</c:v>
                </c:pt>
                <c:pt idx="13">
                  <c:v>1.9952623149688793</c:v>
                </c:pt>
                <c:pt idx="14">
                  <c:v>2.5118864315095797</c:v>
                </c:pt>
                <c:pt idx="15">
                  <c:v>3.1622776601683791</c:v>
                </c:pt>
                <c:pt idx="16">
                  <c:v>3.9810717055349718</c:v>
                </c:pt>
                <c:pt idx="17">
                  <c:v>5.011872336272722</c:v>
                </c:pt>
                <c:pt idx="18">
                  <c:v>6.3095734448019307</c:v>
                </c:pt>
                <c:pt idx="19">
                  <c:v>7.943282347242814</c:v>
                </c:pt>
                <c:pt idx="20">
                  <c:v>9.9999999999999982</c:v>
                </c:pt>
                <c:pt idx="21">
                  <c:v>12.589254117941675</c:v>
                </c:pt>
                <c:pt idx="22">
                  <c:v>15.848931924611136</c:v>
                </c:pt>
                <c:pt idx="23">
                  <c:v>19.952623149688804</c:v>
                </c:pt>
                <c:pt idx="24">
                  <c:v>25.118864315095809</c:v>
                </c:pt>
                <c:pt idx="25">
                  <c:v>31.622776601683817</c:v>
                </c:pt>
                <c:pt idx="26">
                  <c:v>39.81071705534977</c:v>
                </c:pt>
                <c:pt idx="27">
                  <c:v>50.11872336272728</c:v>
                </c:pt>
                <c:pt idx="28">
                  <c:v>63.095734448019414</c:v>
                </c:pt>
                <c:pt idx="29">
                  <c:v>79.432823472428254</c:v>
                </c:pt>
                <c:pt idx="30">
                  <c:v>100.00000000000013</c:v>
                </c:pt>
              </c:numCache>
            </c:numRef>
          </c:xVal>
          <c:yVal>
            <c:numRef>
              <c:f>Sheet1!$J$7:$J$37</c:f>
              <c:numCache>
                <c:formatCode>0.000</c:formatCode>
                <c:ptCount val="31"/>
                <c:pt idx="0">
                  <c:v>-0.34279113841833142</c:v>
                </c:pt>
                <c:pt idx="1">
                  <c:v>-0.34121704120203461</c:v>
                </c:pt>
                <c:pt idx="2">
                  <c:v>-0.33872311854063497</c:v>
                </c:pt>
                <c:pt idx="3">
                  <c:v>-0.334772666656381</c:v>
                </c:pt>
                <c:pt idx="4">
                  <c:v>-0.32851704381614388</c:v>
                </c:pt>
                <c:pt idx="5">
                  <c:v>-0.31861625963547657</c:v>
                </c:pt>
                <c:pt idx="6">
                  <c:v>-0.30295937859156907</c:v>
                </c:pt>
                <c:pt idx="7">
                  <c:v>-0.27823378770269763</c:v>
                </c:pt>
                <c:pt idx="8">
                  <c:v>-0.23927555649397919</c:v>
                </c:pt>
                <c:pt idx="9">
                  <c:v>-0.17813043553300528</c:v>
                </c:pt>
                <c:pt idx="10">
                  <c:v>-8.2824699628560178E-2</c:v>
                </c:pt>
                <c:pt idx="11">
                  <c:v>6.3801199829285546E-2</c:v>
                </c:pt>
                <c:pt idx="12">
                  <c:v>0.28342603593613352</c:v>
                </c:pt>
                <c:pt idx="13">
                  <c:v>0.59257695590806669</c:v>
                </c:pt>
                <c:pt idx="14">
                  <c:v>0.95715587239439015</c:v>
                </c:pt>
                <c:pt idx="15">
                  <c:v>1.131363407757261</c:v>
                </c:pt>
                <c:pt idx="16">
                  <c:v>0.3568693166596677</c:v>
                </c:pt>
                <c:pt idx="17">
                  <c:v>-2.209056538079222</c:v>
                </c:pt>
                <c:pt idx="18">
                  <c:v>-6.1317012622928422</c:v>
                </c:pt>
                <c:pt idx="19">
                  <c:v>-10.472175114869618</c:v>
                </c:pt>
                <c:pt idx="20">
                  <c:v>-14.813516648881402</c:v>
                </c:pt>
                <c:pt idx="21">
                  <c:v>-19.067704632654671</c:v>
                </c:pt>
                <c:pt idx="22">
                  <c:v>-23.240517913614088</c:v>
                </c:pt>
                <c:pt idx="23">
                  <c:v>-27.353775227366143</c:v>
                </c:pt>
                <c:pt idx="24">
                  <c:v>-31.426740377594712</c:v>
                </c:pt>
                <c:pt idx="25">
                  <c:v>-35.473334787440635</c:v>
                </c:pt>
                <c:pt idx="26">
                  <c:v>-39.502945012049892</c:v>
                </c:pt>
                <c:pt idx="27">
                  <c:v>-43.521709284234227</c:v>
                </c:pt>
                <c:pt idx="28">
                  <c:v>-47.533580539432648</c:v>
                </c:pt>
                <c:pt idx="29">
                  <c:v>-51.541083295355172</c:v>
                </c:pt>
                <c:pt idx="30">
                  <c:v>-55.54582215087089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844816"/>
        <c:axId val="166861728"/>
      </c:scatterChart>
      <c:valAx>
        <c:axId val="16684481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61728"/>
        <c:crosses val="autoZero"/>
        <c:crossBetween val="midCat"/>
      </c:valAx>
      <c:valAx>
        <c:axId val="16686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Gain (db)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44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Sheet1!$K$6</c:f>
              <c:strCache>
                <c:ptCount val="1"/>
                <c:pt idx="0">
                  <c:v>Phase (deg)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Sheet1!$G$7:$G$37</c:f>
              <c:numCache>
                <c:formatCode>0.000</c:formatCode>
                <c:ptCount val="31"/>
                <c:pt idx="0">
                  <c:v>0.1</c:v>
                </c:pt>
                <c:pt idx="1">
                  <c:v>0.12589254117941667</c:v>
                </c:pt>
                <c:pt idx="2">
                  <c:v>0.15848931924611132</c:v>
                </c:pt>
                <c:pt idx="3">
                  <c:v>0.19952623149688792</c:v>
                </c:pt>
                <c:pt idx="4">
                  <c:v>0.25118864315095796</c:v>
                </c:pt>
                <c:pt idx="5">
                  <c:v>0.31622776601683783</c:v>
                </c:pt>
                <c:pt idx="6">
                  <c:v>0.39810717055349709</c:v>
                </c:pt>
                <c:pt idx="7">
                  <c:v>0.50118723362727202</c:v>
                </c:pt>
                <c:pt idx="8">
                  <c:v>0.63095734448019303</c:v>
                </c:pt>
                <c:pt idx="9">
                  <c:v>0.79432823472428116</c:v>
                </c:pt>
                <c:pt idx="10">
                  <c:v>0.99999999999999978</c:v>
                </c:pt>
                <c:pt idx="11">
                  <c:v>1.2589254117941668</c:v>
                </c:pt>
                <c:pt idx="12">
                  <c:v>1.5848931924611132</c:v>
                </c:pt>
                <c:pt idx="13">
                  <c:v>1.9952623149688793</c:v>
                </c:pt>
                <c:pt idx="14">
                  <c:v>2.5118864315095797</c:v>
                </c:pt>
                <c:pt idx="15">
                  <c:v>3.1622776601683791</c:v>
                </c:pt>
                <c:pt idx="16">
                  <c:v>3.9810717055349718</c:v>
                </c:pt>
                <c:pt idx="17">
                  <c:v>5.011872336272722</c:v>
                </c:pt>
                <c:pt idx="18">
                  <c:v>6.3095734448019307</c:v>
                </c:pt>
                <c:pt idx="19">
                  <c:v>7.943282347242814</c:v>
                </c:pt>
                <c:pt idx="20">
                  <c:v>9.9999999999999982</c:v>
                </c:pt>
                <c:pt idx="21">
                  <c:v>12.589254117941675</c:v>
                </c:pt>
                <c:pt idx="22">
                  <c:v>15.848931924611136</c:v>
                </c:pt>
                <c:pt idx="23">
                  <c:v>19.952623149688804</c:v>
                </c:pt>
                <c:pt idx="24">
                  <c:v>25.118864315095809</c:v>
                </c:pt>
                <c:pt idx="25">
                  <c:v>31.622776601683817</c:v>
                </c:pt>
                <c:pt idx="26">
                  <c:v>39.81071705534977</c:v>
                </c:pt>
                <c:pt idx="27">
                  <c:v>50.11872336272728</c:v>
                </c:pt>
                <c:pt idx="28">
                  <c:v>63.095734448019414</c:v>
                </c:pt>
                <c:pt idx="29">
                  <c:v>79.432823472428254</c:v>
                </c:pt>
                <c:pt idx="30">
                  <c:v>100.00000000000013</c:v>
                </c:pt>
              </c:numCache>
            </c:numRef>
          </c:xVal>
          <c:yVal>
            <c:numRef>
              <c:f>Sheet1!$K$7:$K$37</c:f>
              <c:numCache>
                <c:formatCode>0.000</c:formatCode>
                <c:ptCount val="31"/>
                <c:pt idx="0">
                  <c:v>-1.3220042542310377</c:v>
                </c:pt>
                <c:pt idx="1">
                  <c:v>-1.6646928947022919</c:v>
                </c:pt>
                <c:pt idx="2">
                  <c:v>-2.0964988784575498</c:v>
                </c:pt>
                <c:pt idx="3">
                  <c:v>-2.6408821839047807</c:v>
                </c:pt>
                <c:pt idx="4">
                  <c:v>-3.3277617024223876</c:v>
                </c:pt>
                <c:pt idx="5">
                  <c:v>-4.1955727338713213</c:v>
                </c:pt>
                <c:pt idx="6">
                  <c:v>-5.2942456914916782</c:v>
                </c:pt>
                <c:pt idx="7">
                  <c:v>-6.6897422055360449</c:v>
                </c:pt>
                <c:pt idx="8">
                  <c:v>-8.4713684895276149</c:v>
                </c:pt>
                <c:pt idx="9">
                  <c:v>-10.764284612009272</c:v>
                </c:pt>
                <c:pt idx="10">
                  <c:v>-13.752150248459998</c:v>
                </c:pt>
                <c:pt idx="11">
                  <c:v>-17.720242748276718</c:v>
                </c:pt>
                <c:pt idx="12">
                  <c:v>-23.140733203356991</c:v>
                </c:pt>
                <c:pt idx="13">
                  <c:v>-30.842013453572012</c:v>
                </c:pt>
                <c:pt idx="14">
                  <c:v>-42.305510154597506</c:v>
                </c:pt>
                <c:pt idx="15">
                  <c:v>-59.828931738615985</c:v>
                </c:pt>
                <c:pt idx="16">
                  <c:v>-84.581068488597126</c:v>
                </c:pt>
                <c:pt idx="17">
                  <c:v>-111.13470568633115</c:v>
                </c:pt>
                <c:pt idx="18">
                  <c:v>-131.62349397771621</c:v>
                </c:pt>
                <c:pt idx="19">
                  <c:v>-145.1830967624152</c:v>
                </c:pt>
                <c:pt idx="20">
                  <c:v>-154.14793050906744</c:v>
                </c:pt>
                <c:pt idx="21">
                  <c:v>-160.34371895839953</c:v>
                </c:pt>
                <c:pt idx="22">
                  <c:v>-164.81538392203882</c:v>
                </c:pt>
                <c:pt idx="23">
                  <c:v>-168.14924269574379</c:v>
                </c:pt>
                <c:pt idx="24">
                  <c:v>-170.69086559793928</c:v>
                </c:pt>
                <c:pt idx="25">
                  <c:v>-172.65728681167778</c:v>
                </c:pt>
                <c:pt idx="26">
                  <c:v>-174.19328751868937</c:v>
                </c:pt>
                <c:pt idx="27">
                  <c:v>-175.40045392430969</c:v>
                </c:pt>
                <c:pt idx="28">
                  <c:v>-176.35289583059063</c:v>
                </c:pt>
                <c:pt idx="29">
                  <c:v>-177.10622766018412</c:v>
                </c:pt>
                <c:pt idx="30">
                  <c:v>-177.70300998864002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460888"/>
        <c:axId val="166845200"/>
      </c:scatterChart>
      <c:valAx>
        <c:axId val="55746088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45200"/>
        <c:crosses val="autoZero"/>
        <c:crossBetween val="midCat"/>
      </c:valAx>
      <c:valAx>
        <c:axId val="16684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Phase (deg)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460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4762</xdr:rowOff>
    </xdr:from>
    <xdr:to>
      <xdr:col>21</xdr:col>
      <xdr:colOff>38100</xdr:colOff>
      <xdr:row>14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14</xdr:row>
      <xdr:rowOff>57150</xdr:rowOff>
    </xdr:from>
    <xdr:to>
      <xdr:col>21</xdr:col>
      <xdr:colOff>19050</xdr:colOff>
      <xdr:row>28</xdr:row>
      <xdr:rowOff>133350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workbookViewId="0">
      <selection activeCell="B6" sqref="B6"/>
    </sheetView>
  </sheetViews>
  <sheetFormatPr defaultRowHeight="15"/>
  <cols>
    <col min="1" max="1" width="21.140625" style="2" customWidth="1"/>
    <col min="2" max="2" width="14.28515625" style="3" customWidth="1"/>
    <col min="3" max="3" width="15.5703125" style="2" bestFit="1" customWidth="1"/>
    <col min="6" max="6" width="18" bestFit="1" customWidth="1"/>
    <col min="7" max="7" width="11.7109375" customWidth="1"/>
    <col min="8" max="8" width="9.5703125" bestFit="1" customWidth="1"/>
    <col min="9" max="9" width="12.5703125" style="11" customWidth="1"/>
    <col min="10" max="10" width="9.28515625" style="10" bestFit="1" customWidth="1"/>
    <col min="11" max="11" width="11.7109375" bestFit="1" customWidth="1"/>
  </cols>
  <sheetData>
    <row r="1" spans="1:11">
      <c r="A1" s="16" t="s">
        <v>0</v>
      </c>
    </row>
    <row r="2" spans="1:11" ht="15.75" thickBot="1">
      <c r="A2" s="5" t="s">
        <v>1</v>
      </c>
      <c r="B2" s="4" t="s">
        <v>2</v>
      </c>
      <c r="F2" s="7" t="s">
        <v>36</v>
      </c>
      <c r="G2" s="8">
        <v>0.1</v>
      </c>
    </row>
    <row r="3" spans="1:11">
      <c r="A3" s="18" t="s">
        <v>3</v>
      </c>
      <c r="B3" s="19">
        <v>250</v>
      </c>
      <c r="C3" s="20" t="s">
        <v>4</v>
      </c>
      <c r="F3" s="7" t="s">
        <v>37</v>
      </c>
      <c r="G3" s="8">
        <v>0.1</v>
      </c>
      <c r="H3" s="6"/>
      <c r="I3" s="6"/>
      <c r="J3" s="9"/>
      <c r="K3" s="6"/>
    </row>
    <row r="4" spans="1:11">
      <c r="A4" s="21" t="s">
        <v>5</v>
      </c>
      <c r="B4" s="12">
        <f>$B$3*2*PI()/60</f>
        <v>26.179938779914941</v>
      </c>
      <c r="C4" s="22" t="s">
        <v>6</v>
      </c>
    </row>
    <row r="5" spans="1:11" ht="15.75" thickBot="1">
      <c r="A5" s="23" t="s">
        <v>7</v>
      </c>
      <c r="B5" s="14">
        <v>20</v>
      </c>
      <c r="C5" s="24" t="s">
        <v>8</v>
      </c>
    </row>
    <row r="6" spans="1:11">
      <c r="A6" s="23" t="s">
        <v>19</v>
      </c>
      <c r="B6" s="14">
        <v>2</v>
      </c>
      <c r="C6" s="24" t="s">
        <v>8</v>
      </c>
      <c r="F6" s="28" t="s">
        <v>30</v>
      </c>
      <c r="G6" s="29" t="s">
        <v>31</v>
      </c>
      <c r="H6" s="29" t="s">
        <v>32</v>
      </c>
      <c r="I6" s="29" t="s">
        <v>33</v>
      </c>
      <c r="J6" s="30" t="s">
        <v>34</v>
      </c>
      <c r="K6" s="31" t="s">
        <v>35</v>
      </c>
    </row>
    <row r="7" spans="1:11" s="1" customFormat="1">
      <c r="A7" s="23" t="s">
        <v>9</v>
      </c>
      <c r="B7" s="15">
        <v>2.3768999999999999E-3</v>
      </c>
      <c r="C7" s="24" t="s">
        <v>10</v>
      </c>
      <c r="F7" s="32">
        <f>LOG10($G$2)</f>
        <v>-1</v>
      </c>
      <c r="G7" s="17">
        <f>10^F7</f>
        <v>0.1</v>
      </c>
      <c r="H7" s="17">
        <f>G7*2*PI()</f>
        <v>0.62831853071795862</v>
      </c>
      <c r="I7" s="17">
        <f>(2*$B$18*$B$4^2)/SQRT(($B$4^2-H7^2)^2 +( 2*$B$18*$B$4*H7)^2)</f>
        <v>0.96130332191606804</v>
      </c>
      <c r="J7" s="17">
        <f>20*LOG10(I7)</f>
        <v>-0.34279113841833142</v>
      </c>
      <c r="K7" s="33">
        <f>-ATAN2($B$4^2-H7^2,2*$B$18*$B$4*H7)*180/PI()</f>
        <v>-1.3220042542310377</v>
      </c>
    </row>
    <row r="8" spans="1:11">
      <c r="A8" s="23" t="s">
        <v>11</v>
      </c>
      <c r="B8" s="14">
        <v>200</v>
      </c>
      <c r="C8" s="24" t="s">
        <v>12</v>
      </c>
      <c r="F8" s="32">
        <f>F7+$G$3</f>
        <v>-0.9</v>
      </c>
      <c r="G8" s="17">
        <f t="shared" ref="G8:G37" si="0">10^F8</f>
        <v>0.12589254117941667</v>
      </c>
      <c r="H8" s="17">
        <f t="shared" ref="H8:H37" si="1">G8*2*PI()</f>
        <v>0.79100616502201182</v>
      </c>
      <c r="I8" s="17">
        <f t="shared" ref="I8:I37" si="2">(2*$B$18*$B$4^2)/SQRT(($B$4^2-H8^2)^2 +( 2*$B$18*$B$4*H8)^2)</f>
        <v>0.96147754955049347</v>
      </c>
      <c r="J8" s="17">
        <f t="shared" ref="J8:J37" si="3">20*LOG10(I8)</f>
        <v>-0.34121704120203461</v>
      </c>
      <c r="K8" s="33">
        <f t="shared" ref="K8:K37" si="4">-ATAN2($B$4^2-H8^2,2*$B$18*$B$4*H8)*180/PI()</f>
        <v>-1.6646928947022919</v>
      </c>
    </row>
    <row r="9" spans="1:11">
      <c r="A9" s="21" t="s">
        <v>11</v>
      </c>
      <c r="B9" s="12">
        <f>$B$8/32.174</f>
        <v>6.2161994156772549</v>
      </c>
      <c r="C9" s="22" t="s">
        <v>13</v>
      </c>
      <c r="F9" s="32">
        <f t="shared" ref="F9:F37" si="5">F8+$G$3</f>
        <v>-0.8</v>
      </c>
      <c r="G9" s="17">
        <f t="shared" si="0"/>
        <v>0.15848931924611132</v>
      </c>
      <c r="H9" s="17">
        <f t="shared" si="1"/>
        <v>0.9958177620320614</v>
      </c>
      <c r="I9" s="17">
        <f t="shared" si="2"/>
        <v>0.96175365194434315</v>
      </c>
      <c r="J9" s="17">
        <f t="shared" si="3"/>
        <v>-0.33872311854063497</v>
      </c>
      <c r="K9" s="33">
        <f t="shared" si="4"/>
        <v>-2.0964988784575498</v>
      </c>
    </row>
    <row r="10" spans="1:11">
      <c r="A10" s="21" t="s">
        <v>14</v>
      </c>
      <c r="B10" s="12">
        <f>$B$9*($B$5^2)/4</f>
        <v>621.6199415677255</v>
      </c>
      <c r="C10" s="22" t="s">
        <v>15</v>
      </c>
      <c r="F10" s="32">
        <f t="shared" si="5"/>
        <v>-0.70000000000000007</v>
      </c>
      <c r="G10" s="17">
        <f t="shared" si="0"/>
        <v>0.19952623149688792</v>
      </c>
      <c r="H10" s="17">
        <f t="shared" si="1"/>
        <v>1.2536602861381589</v>
      </c>
      <c r="I10" s="17">
        <f t="shared" si="2"/>
        <v>0.96219116909164482</v>
      </c>
      <c r="J10" s="17">
        <f t="shared" si="3"/>
        <v>-0.334772666656381</v>
      </c>
      <c r="K10" s="33">
        <f t="shared" si="4"/>
        <v>-2.6408821839047807</v>
      </c>
    </row>
    <row r="11" spans="1:11">
      <c r="A11" s="21" t="s">
        <v>16</v>
      </c>
      <c r="B11" s="13">
        <f>2*PI()</f>
        <v>6.2831853071795862</v>
      </c>
      <c r="C11" s="22" t="s">
        <v>17</v>
      </c>
      <c r="F11" s="32">
        <f t="shared" si="5"/>
        <v>-0.60000000000000009</v>
      </c>
      <c r="G11" s="17">
        <f t="shared" si="0"/>
        <v>0.25118864315095796</v>
      </c>
      <c r="H11" s="17">
        <f t="shared" si="1"/>
        <v>1.5782647919764752</v>
      </c>
      <c r="I11" s="17">
        <f t="shared" si="2"/>
        <v>0.96288439377221891</v>
      </c>
      <c r="J11" s="17">
        <f t="shared" si="3"/>
        <v>-0.32851704381614388</v>
      </c>
      <c r="K11" s="33">
        <f t="shared" si="4"/>
        <v>-3.3277617024223876</v>
      </c>
    </row>
    <row r="12" spans="1:11">
      <c r="A12" s="21" t="s">
        <v>18</v>
      </c>
      <c r="B12" s="12">
        <f>1/8*$B$7*$B$6*$B$11*($B$5^4)/$B$10*($B$4^2)</f>
        <v>658.66272328837567</v>
      </c>
      <c r="C12" s="22" t="s">
        <v>22</v>
      </c>
      <c r="F12" s="32">
        <f t="shared" si="5"/>
        <v>-0.50000000000000011</v>
      </c>
      <c r="G12" s="17">
        <f t="shared" si="0"/>
        <v>0.31622776601683783</v>
      </c>
      <c r="H12" s="17">
        <f t="shared" si="1"/>
        <v>1.9869176531592194</v>
      </c>
      <c r="I12" s="17">
        <f t="shared" si="2"/>
        <v>0.96398258249013691</v>
      </c>
      <c r="J12" s="17">
        <f t="shared" si="3"/>
        <v>-0.31861625963547657</v>
      </c>
      <c r="K12" s="33">
        <f t="shared" si="4"/>
        <v>-4.1955727338713213</v>
      </c>
    </row>
    <row r="13" spans="1:11">
      <c r="A13" s="21" t="s">
        <v>20</v>
      </c>
      <c r="B13" s="12">
        <f>$B$4^2</f>
        <v>685.38919452009418</v>
      </c>
      <c r="C13" s="22" t="s">
        <v>22</v>
      </c>
      <c r="F13" s="32">
        <f t="shared" si="5"/>
        <v>-0.40000000000000013</v>
      </c>
      <c r="G13" s="17">
        <f t="shared" si="0"/>
        <v>0.39810717055349709</v>
      </c>
      <c r="H13" s="17">
        <f t="shared" si="1"/>
        <v>2.5013811247045705</v>
      </c>
      <c r="I13" s="17">
        <f t="shared" si="2"/>
        <v>0.96572179084422327</v>
      </c>
      <c r="J13" s="17">
        <f t="shared" si="3"/>
        <v>-0.30295937859156907</v>
      </c>
      <c r="K13" s="33">
        <f t="shared" si="4"/>
        <v>-5.2942456914916782</v>
      </c>
    </row>
    <row r="14" spans="1:11">
      <c r="A14" s="21" t="s">
        <v>21</v>
      </c>
      <c r="B14" s="12">
        <f>1/8*$B$7*$B$6*$B$11*($B$5^4)/$B$10*$B$4</f>
        <v>25.159062778011421</v>
      </c>
      <c r="C14" s="22" t="s">
        <v>6</v>
      </c>
      <c r="F14" s="32">
        <f t="shared" si="5"/>
        <v>-0.30000000000000016</v>
      </c>
      <c r="G14" s="17">
        <f t="shared" si="0"/>
        <v>0.50118723362727202</v>
      </c>
      <c r="H14" s="17">
        <f t="shared" si="1"/>
        <v>3.1490522624728583</v>
      </c>
      <c r="I14" s="17">
        <f t="shared" si="2"/>
        <v>0.96847476851972081</v>
      </c>
      <c r="J14" s="17">
        <f t="shared" si="3"/>
        <v>-0.27823378770269763</v>
      </c>
      <c r="K14" s="33">
        <f t="shared" si="4"/>
        <v>-6.6897422055360449</v>
      </c>
    </row>
    <row r="15" spans="1:11">
      <c r="A15" s="21" t="s">
        <v>23</v>
      </c>
      <c r="B15" s="12">
        <v>1</v>
      </c>
      <c r="C15" s="22" t="s">
        <v>24</v>
      </c>
      <c r="F15" s="32">
        <f t="shared" si="5"/>
        <v>-0.20000000000000015</v>
      </c>
      <c r="G15" s="17">
        <f t="shared" si="0"/>
        <v>0.63095734448019303</v>
      </c>
      <c r="H15" s="17">
        <f t="shared" si="1"/>
        <v>3.9644219162949978</v>
      </c>
      <c r="I15" s="17">
        <f t="shared" si="2"/>
        <v>0.97282835879330654</v>
      </c>
      <c r="J15" s="17">
        <f t="shared" si="3"/>
        <v>-0.23927555649397919</v>
      </c>
      <c r="K15" s="33">
        <f t="shared" si="4"/>
        <v>-8.4713684895276149</v>
      </c>
    </row>
    <row r="16" spans="1:11">
      <c r="A16" s="21" t="s">
        <v>25</v>
      </c>
      <c r="B16" s="12">
        <f>1/8*$B$7*$B$6*$B$11*($B$5^4)/$B$10</f>
        <v>0.96100540912315924</v>
      </c>
      <c r="C16" s="22" t="s">
        <v>26</v>
      </c>
      <c r="F16" s="32">
        <f t="shared" si="5"/>
        <v>-0.10000000000000014</v>
      </c>
      <c r="G16" s="17">
        <f t="shared" si="0"/>
        <v>0.79432823472428116</v>
      </c>
      <c r="H16" s="17">
        <f t="shared" si="1"/>
        <v>4.9909114934975012</v>
      </c>
      <c r="I16" s="17">
        <f t="shared" si="2"/>
        <v>0.97970083505568317</v>
      </c>
      <c r="J16" s="17">
        <f t="shared" si="3"/>
        <v>-0.17813043553300528</v>
      </c>
      <c r="K16" s="33">
        <f t="shared" si="4"/>
        <v>-10.764284612009272</v>
      </c>
    </row>
    <row r="17" spans="1:11">
      <c r="A17" s="21" t="s">
        <v>25</v>
      </c>
      <c r="B17" s="12">
        <f>LOG10(B16)*20</f>
        <v>-0.34548335701975358</v>
      </c>
      <c r="C17" s="22" t="s">
        <v>27</v>
      </c>
      <c r="F17" s="32">
        <f t="shared" si="5"/>
        <v>-1.3877787807814457E-16</v>
      </c>
      <c r="G17" s="17">
        <f t="shared" si="0"/>
        <v>0.99999999999999978</v>
      </c>
      <c r="H17" s="17">
        <f t="shared" si="1"/>
        <v>6.2831853071795845</v>
      </c>
      <c r="I17" s="17">
        <f t="shared" si="2"/>
        <v>0.99050977322129274</v>
      </c>
      <c r="J17" s="17">
        <f t="shared" si="3"/>
        <v>-8.2824699628560178E-2</v>
      </c>
      <c r="K17" s="33">
        <f t="shared" si="4"/>
        <v>-13.752150248459998</v>
      </c>
    </row>
    <row r="18" spans="1:11">
      <c r="A18" s="21" t="s">
        <v>28</v>
      </c>
      <c r="B18" s="12">
        <f>$B$14/2/$B$4</f>
        <v>0.48050270456157962</v>
      </c>
      <c r="C18" s="22" t="s">
        <v>17</v>
      </c>
      <c r="F18" s="32">
        <f t="shared" si="5"/>
        <v>9.9999999999999867E-2</v>
      </c>
      <c r="G18" s="17">
        <f t="shared" si="0"/>
        <v>1.2589254117941668</v>
      </c>
      <c r="H18" s="17">
        <f t="shared" si="1"/>
        <v>7.9100616502201193</v>
      </c>
      <c r="I18" s="17">
        <f t="shared" si="2"/>
        <v>1.0073724280938789</v>
      </c>
      <c r="J18" s="17">
        <f t="shared" si="3"/>
        <v>6.3801199829285546E-2</v>
      </c>
      <c r="K18" s="33">
        <f t="shared" si="4"/>
        <v>-17.720242748276718</v>
      </c>
    </row>
    <row r="19" spans="1:11">
      <c r="A19" s="21" t="s">
        <v>29</v>
      </c>
      <c r="B19" s="12">
        <f>1/16*$B$7*$B$6*$B$11*($B$5^4)/$B$10</f>
        <v>0.48050270456157962</v>
      </c>
      <c r="C19" s="22" t="s">
        <v>17</v>
      </c>
      <c r="F19" s="32">
        <f t="shared" si="5"/>
        <v>0.19999999999999987</v>
      </c>
      <c r="G19" s="17">
        <f t="shared" si="0"/>
        <v>1.5848931924611132</v>
      </c>
      <c r="H19" s="17">
        <f t="shared" si="1"/>
        <v>9.9581776203206136</v>
      </c>
      <c r="I19" s="17">
        <f t="shared" si="2"/>
        <v>1.033168845383885</v>
      </c>
      <c r="J19" s="17">
        <f t="shared" si="3"/>
        <v>0.28342603593613352</v>
      </c>
      <c r="K19" s="33">
        <f t="shared" si="4"/>
        <v>-23.140733203356991</v>
      </c>
    </row>
    <row r="20" spans="1:11" ht="15.75" thickBot="1">
      <c r="A20" s="25" t="s">
        <v>5</v>
      </c>
      <c r="B20" s="26">
        <f>$B$4/2/PI()</f>
        <v>4.1666666666666661</v>
      </c>
      <c r="C20" s="27" t="s">
        <v>38</v>
      </c>
      <c r="F20" s="32">
        <f t="shared" si="5"/>
        <v>0.29999999999999988</v>
      </c>
      <c r="G20" s="17">
        <f t="shared" si="0"/>
        <v>1.9952623149688793</v>
      </c>
      <c r="H20" s="17">
        <f t="shared" si="1"/>
        <v>12.53660286138159</v>
      </c>
      <c r="I20" s="17">
        <f t="shared" si="2"/>
        <v>1.070603965808594</v>
      </c>
      <c r="J20" s="17">
        <f t="shared" si="3"/>
        <v>0.59257695590806669</v>
      </c>
      <c r="K20" s="33">
        <f t="shared" si="4"/>
        <v>-30.842013453572012</v>
      </c>
    </row>
    <row r="21" spans="1:11">
      <c r="F21" s="32">
        <f t="shared" si="5"/>
        <v>0.39999999999999991</v>
      </c>
      <c r="G21" s="17">
        <f t="shared" si="0"/>
        <v>2.5118864315095797</v>
      </c>
      <c r="H21" s="17">
        <f t="shared" si="1"/>
        <v>15.782647919764754</v>
      </c>
      <c r="I21" s="17">
        <f t="shared" si="2"/>
        <v>1.1164975993872102</v>
      </c>
      <c r="J21" s="17">
        <f t="shared" si="3"/>
        <v>0.95715587239439015</v>
      </c>
      <c r="K21" s="33">
        <f t="shared" si="4"/>
        <v>-42.305510154597506</v>
      </c>
    </row>
    <row r="22" spans="1:11">
      <c r="F22" s="32">
        <f t="shared" si="5"/>
        <v>0.49999999999999989</v>
      </c>
      <c r="G22" s="17">
        <f t="shared" si="0"/>
        <v>3.1622776601683791</v>
      </c>
      <c r="H22" s="17">
        <f t="shared" si="1"/>
        <v>19.869176531592199</v>
      </c>
      <c r="I22" s="17">
        <f t="shared" si="2"/>
        <v>1.1391165728287189</v>
      </c>
      <c r="J22" s="17">
        <f t="shared" si="3"/>
        <v>1.131363407757261</v>
      </c>
      <c r="K22" s="33">
        <f t="shared" si="4"/>
        <v>-59.828931738615985</v>
      </c>
    </row>
    <row r="23" spans="1:11">
      <c r="F23" s="32">
        <f t="shared" si="5"/>
        <v>0.59999999999999987</v>
      </c>
      <c r="G23" s="17">
        <f t="shared" si="0"/>
        <v>3.9810717055349718</v>
      </c>
      <c r="H23" s="17">
        <f t="shared" si="1"/>
        <v>25.013811247045712</v>
      </c>
      <c r="I23" s="17">
        <f t="shared" si="2"/>
        <v>1.0419418112423231</v>
      </c>
      <c r="J23" s="17">
        <f t="shared" si="3"/>
        <v>0.3568693166596677</v>
      </c>
      <c r="K23" s="33">
        <f t="shared" si="4"/>
        <v>-84.581068488597126</v>
      </c>
    </row>
    <row r="24" spans="1:11">
      <c r="F24" s="32">
        <f t="shared" si="5"/>
        <v>0.69999999999999984</v>
      </c>
      <c r="G24" s="17">
        <f t="shared" si="0"/>
        <v>5.011872336272722</v>
      </c>
      <c r="H24" s="17">
        <f t="shared" si="1"/>
        <v>31.490522624728595</v>
      </c>
      <c r="I24" s="17">
        <f t="shared" si="2"/>
        <v>0.77543816693154188</v>
      </c>
      <c r="J24" s="17">
        <f t="shared" si="3"/>
        <v>-2.209056538079222</v>
      </c>
      <c r="K24" s="33">
        <f t="shared" si="4"/>
        <v>-111.13470568633115</v>
      </c>
    </row>
    <row r="25" spans="1:11">
      <c r="F25" s="32">
        <f t="shared" si="5"/>
        <v>0.79999999999999982</v>
      </c>
      <c r="G25" s="17">
        <f t="shared" si="0"/>
        <v>6.3095734448019307</v>
      </c>
      <c r="H25" s="17">
        <f t="shared" si="1"/>
        <v>39.64421916294998</v>
      </c>
      <c r="I25" s="17">
        <f t="shared" si="2"/>
        <v>0.49364522092949048</v>
      </c>
      <c r="J25" s="17">
        <f t="shared" si="3"/>
        <v>-6.1317012622928422</v>
      </c>
      <c r="K25" s="33">
        <f t="shared" si="4"/>
        <v>-131.62349397771621</v>
      </c>
    </row>
    <row r="26" spans="1:11">
      <c r="F26" s="32">
        <f t="shared" si="5"/>
        <v>0.8999999999999998</v>
      </c>
      <c r="G26" s="17">
        <f t="shared" si="0"/>
        <v>7.943282347242814</v>
      </c>
      <c r="H26" s="17">
        <f t="shared" si="1"/>
        <v>49.909114934975022</v>
      </c>
      <c r="I26" s="17">
        <f t="shared" si="2"/>
        <v>0.29949615021895759</v>
      </c>
      <c r="J26" s="17">
        <f t="shared" si="3"/>
        <v>-10.472175114869618</v>
      </c>
      <c r="K26" s="33">
        <f t="shared" si="4"/>
        <v>-145.1830967624152</v>
      </c>
    </row>
    <row r="27" spans="1:11">
      <c r="F27" s="32">
        <f t="shared" si="5"/>
        <v>0.99999999999999978</v>
      </c>
      <c r="G27" s="17">
        <f t="shared" si="0"/>
        <v>9.9999999999999982</v>
      </c>
      <c r="H27" s="17">
        <f t="shared" si="1"/>
        <v>62.831853071795848</v>
      </c>
      <c r="I27" s="17">
        <f t="shared" si="2"/>
        <v>0.1816871311995262</v>
      </c>
      <c r="J27" s="17">
        <f t="shared" si="3"/>
        <v>-14.813516648881402</v>
      </c>
      <c r="K27" s="33">
        <f t="shared" si="4"/>
        <v>-154.14793050906744</v>
      </c>
    </row>
    <row r="28" spans="1:11">
      <c r="F28" s="32">
        <f t="shared" si="5"/>
        <v>1.0999999999999999</v>
      </c>
      <c r="G28" s="17">
        <f t="shared" si="0"/>
        <v>12.589254117941675</v>
      </c>
      <c r="H28" s="17">
        <f t="shared" si="1"/>
        <v>79.100616502201234</v>
      </c>
      <c r="I28" s="17">
        <f t="shared" si="2"/>
        <v>0.11133065606999201</v>
      </c>
      <c r="J28" s="17">
        <f t="shared" si="3"/>
        <v>-19.067704632654671</v>
      </c>
      <c r="K28" s="33">
        <f t="shared" si="4"/>
        <v>-160.34371895839953</v>
      </c>
    </row>
    <row r="29" spans="1:11">
      <c r="F29" s="32">
        <f t="shared" si="5"/>
        <v>1.2</v>
      </c>
      <c r="G29" s="17">
        <f t="shared" si="0"/>
        <v>15.848931924611136</v>
      </c>
      <c r="H29" s="17">
        <f t="shared" si="1"/>
        <v>99.581776203206175</v>
      </c>
      <c r="I29" s="17">
        <f t="shared" si="2"/>
        <v>6.8861123529222898E-2</v>
      </c>
      <c r="J29" s="17">
        <f t="shared" si="3"/>
        <v>-23.240517913614088</v>
      </c>
      <c r="K29" s="33">
        <f t="shared" si="4"/>
        <v>-164.81538392203882</v>
      </c>
    </row>
    <row r="30" spans="1:11">
      <c r="F30" s="32">
        <f t="shared" si="5"/>
        <v>1.3</v>
      </c>
      <c r="G30" s="17">
        <f t="shared" si="0"/>
        <v>19.952623149688804</v>
      </c>
      <c r="H30" s="17">
        <f t="shared" si="1"/>
        <v>125.36602861381597</v>
      </c>
      <c r="I30" s="17">
        <f t="shared" si="2"/>
        <v>4.2885575124195996E-2</v>
      </c>
      <c r="J30" s="17">
        <f t="shared" si="3"/>
        <v>-27.353775227366143</v>
      </c>
      <c r="K30" s="33">
        <f t="shared" si="4"/>
        <v>-168.14924269574379</v>
      </c>
    </row>
    <row r="31" spans="1:11">
      <c r="F31" s="32">
        <f t="shared" si="5"/>
        <v>1.4000000000000001</v>
      </c>
      <c r="G31" s="17">
        <f t="shared" si="0"/>
        <v>25.118864315095809</v>
      </c>
      <c r="H31" s="17">
        <f t="shared" si="1"/>
        <v>157.82647919764761</v>
      </c>
      <c r="I31" s="17">
        <f t="shared" si="2"/>
        <v>2.6832613873787138E-2</v>
      </c>
      <c r="J31" s="17">
        <f t="shared" si="3"/>
        <v>-31.426740377594712</v>
      </c>
      <c r="K31" s="33">
        <f t="shared" si="4"/>
        <v>-170.69086559793928</v>
      </c>
    </row>
    <row r="32" spans="1:11">
      <c r="F32" s="32">
        <f t="shared" si="5"/>
        <v>1.5000000000000002</v>
      </c>
      <c r="G32" s="17">
        <f t="shared" si="0"/>
        <v>31.622776601683817</v>
      </c>
      <c r="H32" s="17">
        <f t="shared" si="1"/>
        <v>198.69176531592217</v>
      </c>
      <c r="I32" s="17">
        <f t="shared" si="2"/>
        <v>1.6839657749853382E-2</v>
      </c>
      <c r="J32" s="17">
        <f t="shared" si="3"/>
        <v>-35.473334787440635</v>
      </c>
      <c r="K32" s="33">
        <f t="shared" si="4"/>
        <v>-172.65728681167778</v>
      </c>
    </row>
    <row r="33" spans="6:11">
      <c r="F33" s="32">
        <f t="shared" si="5"/>
        <v>1.6000000000000003</v>
      </c>
      <c r="G33" s="17">
        <f t="shared" si="0"/>
        <v>39.81071705534977</v>
      </c>
      <c r="H33" s="17">
        <f t="shared" si="1"/>
        <v>250.13811247045743</v>
      </c>
      <c r="I33" s="17">
        <f t="shared" si="2"/>
        <v>1.058894638621103E-2</v>
      </c>
      <c r="J33" s="17">
        <f t="shared" si="3"/>
        <v>-39.502945012049892</v>
      </c>
      <c r="K33" s="33">
        <f t="shared" si="4"/>
        <v>-174.19328751868937</v>
      </c>
    </row>
    <row r="34" spans="6:11">
      <c r="F34" s="32">
        <f t="shared" si="5"/>
        <v>1.7000000000000004</v>
      </c>
      <c r="G34" s="17">
        <f t="shared" si="0"/>
        <v>50.11872336272728</v>
      </c>
      <c r="H34" s="17">
        <f t="shared" si="1"/>
        <v>314.90522624728629</v>
      </c>
      <c r="I34" s="17">
        <f t="shared" si="2"/>
        <v>6.6667556214024077E-3</v>
      </c>
      <c r="J34" s="17">
        <f t="shared" si="3"/>
        <v>-43.521709284234227</v>
      </c>
      <c r="K34" s="33">
        <f t="shared" si="4"/>
        <v>-175.40045392430969</v>
      </c>
    </row>
    <row r="35" spans="6:11">
      <c r="F35" s="32">
        <f t="shared" si="5"/>
        <v>1.8000000000000005</v>
      </c>
      <c r="G35" s="17">
        <f t="shared" si="0"/>
        <v>63.095734448019414</v>
      </c>
      <c r="H35" s="17">
        <f t="shared" si="1"/>
        <v>396.44219162950048</v>
      </c>
      <c r="I35" s="17">
        <f t="shared" si="2"/>
        <v>4.2006932897106445E-3</v>
      </c>
      <c r="J35" s="17">
        <f t="shared" si="3"/>
        <v>-47.533580539432648</v>
      </c>
      <c r="K35" s="33">
        <f t="shared" si="4"/>
        <v>-176.35289583059063</v>
      </c>
    </row>
    <row r="36" spans="6:11">
      <c r="F36" s="32">
        <f t="shared" si="5"/>
        <v>1.9000000000000006</v>
      </c>
      <c r="G36" s="17">
        <f t="shared" si="0"/>
        <v>79.432823472428254</v>
      </c>
      <c r="H36" s="17">
        <f t="shared" si="1"/>
        <v>499.09114934975099</v>
      </c>
      <c r="I36" s="17">
        <f t="shared" si="2"/>
        <v>2.6481698409504804E-3</v>
      </c>
      <c r="J36" s="17">
        <f t="shared" si="3"/>
        <v>-51.541083295355172</v>
      </c>
      <c r="K36" s="33">
        <f t="shared" si="4"/>
        <v>-177.10622766018412</v>
      </c>
    </row>
    <row r="37" spans="6:11" ht="15.75" thickBot="1">
      <c r="F37" s="38">
        <f t="shared" si="5"/>
        <v>2.0000000000000004</v>
      </c>
      <c r="G37" s="39">
        <f t="shared" si="0"/>
        <v>100.00000000000013</v>
      </c>
      <c r="H37" s="39">
        <f t="shared" si="1"/>
        <v>628.31853071795945</v>
      </c>
      <c r="I37" s="39">
        <f t="shared" si="2"/>
        <v>1.6699708577836445E-3</v>
      </c>
      <c r="J37" s="39">
        <f t="shared" si="3"/>
        <v>-55.54582215087089</v>
      </c>
      <c r="K37" s="40">
        <f t="shared" si="4"/>
        <v>-177.70300998864002</v>
      </c>
    </row>
    <row r="38" spans="6:11" ht="15.75" thickBot="1">
      <c r="F38" s="34">
        <v>0.61980000000000002</v>
      </c>
      <c r="G38" s="35">
        <f t="shared" ref="G38" si="6">10^F38</f>
        <v>4.1667745222190975</v>
      </c>
      <c r="H38" s="36">
        <f t="shared" ref="H38" si="7">G38*2*PI()</f>
        <v>26.180616456337273</v>
      </c>
      <c r="I38" s="36">
        <f t="shared" ref="I38" si="8">(2*$B$18*$B$4^2)/SQRT(($B$4^2-H38^2)^2 +( 2*$B$18*$B$4*H38)^2)</f>
        <v>0.99997411388646318</v>
      </c>
      <c r="J38" s="36">
        <f t="shared" ref="J38" si="9">20*LOG10(I38)</f>
        <v>-2.2484683555716622E-4</v>
      </c>
      <c r="K38" s="37">
        <f t="shared" ref="K38" si="10">-ATAN2($B$4^2-H38^2,2*$B$18*$B$4*H38)*180/PI()</f>
        <v>-90.003086561423629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2022-07-29T14:18:59Z</dcterms:modified>
</cp:coreProperties>
</file>